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myers\Desktop\"/>
    </mc:Choice>
  </mc:AlternateContent>
  <bookViews>
    <workbookView xWindow="0" yWindow="0" windowWidth="28800" windowHeight="12420"/>
  </bookViews>
  <sheets>
    <sheet name="SS-110 and SS-110" sheetId="1" r:id="rId1"/>
  </sheets>
  <calcPr calcId="152511"/>
</workbook>
</file>

<file path=xl/calcChain.xml><?xml version="1.0" encoding="utf-8"?>
<calcChain xmlns="http://schemas.openxmlformats.org/spreadsheetml/2006/main">
  <c r="L38" i="1" l="1"/>
  <c r="M17" i="1"/>
  <c r="L39" i="1"/>
  <c r="M18" i="1"/>
  <c r="M25" i="1" s="1"/>
  <c r="L37" i="1"/>
  <c r="L41" i="1"/>
  <c r="L42" i="1"/>
  <c r="L36" i="1"/>
  <c r="M16" i="1"/>
  <c r="M20" i="1" s="1"/>
  <c r="L35" i="1"/>
  <c r="M15" i="1"/>
  <c r="K9" i="1"/>
  <c r="K8" i="1"/>
  <c r="L40" i="1"/>
  <c r="L44" i="1"/>
  <c r="L43" i="1"/>
  <c r="L45" i="1"/>
  <c r="M26" i="1" l="1"/>
  <c r="M19" i="1"/>
  <c r="M23" i="1" l="1"/>
  <c r="M21" i="1"/>
  <c r="M22" i="1" s="1"/>
  <c r="M24" i="1" l="1"/>
  <c r="M27" i="1" s="1"/>
  <c r="M28" i="1" s="1"/>
  <c r="K10" i="1" s="1"/>
  <c r="I12" i="1" s="1"/>
</calcChain>
</file>

<file path=xl/sharedStrings.xml><?xml version="1.0" encoding="utf-8"?>
<sst xmlns="http://schemas.openxmlformats.org/spreadsheetml/2006/main" count="70" uniqueCount="48">
  <si>
    <t>Half-Angle FOV =</t>
  </si>
  <si>
    <r>
      <t>Visible Surface Area (m</t>
    </r>
    <r>
      <rPr>
        <vertAlign val="superscript"/>
        <sz val="11"/>
        <color indexed="8"/>
        <rFont val="Calibri"/>
        <family val="2"/>
      </rPr>
      <t>2</t>
    </r>
    <r>
      <rPr>
        <sz val="11"/>
        <color theme="1"/>
        <rFont val="Calibri"/>
        <family val="2"/>
        <scheme val="minor"/>
      </rPr>
      <t>) =</t>
    </r>
  </si>
  <si>
    <t>SI-131</t>
  </si>
  <si>
    <t>Sensor</t>
  </si>
  <si>
    <r>
      <t>Half-Angle FOV (</t>
    </r>
    <r>
      <rPr>
        <b/>
        <sz val="10"/>
        <rFont val="Calibri"/>
        <family val="2"/>
      </rPr>
      <t>φ</t>
    </r>
    <r>
      <rPr>
        <b/>
        <sz val="10"/>
        <rFont val="Arial"/>
        <family val="2"/>
      </rPr>
      <t>) =</t>
    </r>
  </si>
  <si>
    <t>BO=</t>
  </si>
  <si>
    <t>DO=</t>
  </si>
  <si>
    <t>AO=</t>
  </si>
  <si>
    <t>AD=</t>
  </si>
  <si>
    <t>a=AC=CD=</t>
  </si>
  <si>
    <t>BD=</t>
  </si>
  <si>
    <t>BC=</t>
  </si>
  <si>
    <t>BH=</t>
  </si>
  <si>
    <t>BE=</t>
  </si>
  <si>
    <t>b=CF=</t>
  </si>
  <si>
    <r>
      <t xml:space="preserve">Area = </t>
    </r>
    <r>
      <rPr>
        <b/>
        <sz val="10"/>
        <rFont val="Calibri"/>
        <family val="2"/>
      </rPr>
      <t>π</t>
    </r>
    <r>
      <rPr>
        <b/>
        <sz val="10"/>
        <rFont val="Arial"/>
        <family val="2"/>
      </rPr>
      <t>ab =</t>
    </r>
  </si>
  <si>
    <t>SI-1H1</t>
  </si>
  <si>
    <t>Units</t>
  </si>
  <si>
    <r>
      <t>Half-Angle FOV (</t>
    </r>
    <r>
      <rPr>
        <b/>
        <sz val="10"/>
        <rFont val="Calibri"/>
        <family val="2"/>
      </rPr>
      <t>φ</t>
    </r>
    <r>
      <rPr>
        <b/>
        <vertAlign val="subscript"/>
        <sz val="10"/>
        <rFont val="Calibri"/>
        <family val="2"/>
      </rPr>
      <t>H</t>
    </r>
    <r>
      <rPr>
        <b/>
        <sz val="10"/>
        <rFont val="Arial"/>
        <family val="2"/>
      </rPr>
      <t>) =</t>
    </r>
  </si>
  <si>
    <t>o</t>
  </si>
  <si>
    <r>
      <t>Half-Angle FOV (</t>
    </r>
    <r>
      <rPr>
        <b/>
        <sz val="10"/>
        <rFont val="Calibri"/>
        <family val="2"/>
      </rPr>
      <t>φ</t>
    </r>
    <r>
      <rPr>
        <b/>
        <vertAlign val="subscript"/>
        <sz val="10"/>
        <rFont val="Calibri"/>
        <family val="2"/>
      </rPr>
      <t>V</t>
    </r>
    <r>
      <rPr>
        <b/>
        <sz val="10"/>
        <rFont val="Arial"/>
        <family val="2"/>
      </rPr>
      <t>) =</t>
    </r>
  </si>
  <si>
    <t>BO =</t>
  </si>
  <si>
    <t>m</t>
  </si>
  <si>
    <r>
      <t>G</t>
    </r>
    <r>
      <rPr>
        <b/>
        <vertAlign val="subscript"/>
        <sz val="10"/>
        <rFont val="Arial"/>
        <family val="2"/>
      </rPr>
      <t>1</t>
    </r>
    <r>
      <rPr>
        <b/>
        <sz val="10"/>
        <rFont val="Arial"/>
        <family val="2"/>
      </rPr>
      <t>O =</t>
    </r>
  </si>
  <si>
    <r>
      <t>G</t>
    </r>
    <r>
      <rPr>
        <b/>
        <vertAlign val="subscript"/>
        <sz val="10"/>
        <rFont val="Arial"/>
        <family val="2"/>
      </rPr>
      <t>2</t>
    </r>
    <r>
      <rPr>
        <b/>
        <sz val="10"/>
        <rFont val="Arial"/>
        <family val="2"/>
      </rPr>
      <t>O =</t>
    </r>
  </si>
  <si>
    <r>
      <t>V = G</t>
    </r>
    <r>
      <rPr>
        <b/>
        <vertAlign val="subscript"/>
        <sz val="10"/>
        <rFont val="Arial"/>
        <family val="2"/>
      </rPr>
      <t>2</t>
    </r>
    <r>
      <rPr>
        <b/>
        <sz val="10"/>
        <rFont val="Arial"/>
        <family val="2"/>
      </rPr>
      <t>O-G</t>
    </r>
    <r>
      <rPr>
        <b/>
        <vertAlign val="subscript"/>
        <sz val="10"/>
        <rFont val="Arial"/>
        <family val="2"/>
      </rPr>
      <t>1</t>
    </r>
    <r>
      <rPr>
        <b/>
        <sz val="10"/>
        <rFont val="Arial"/>
        <family val="2"/>
      </rPr>
      <t>O =</t>
    </r>
  </si>
  <si>
    <r>
      <t>H</t>
    </r>
    <r>
      <rPr>
        <b/>
        <vertAlign val="subscript"/>
        <sz val="10"/>
        <rFont val="Arial"/>
        <family val="2"/>
      </rPr>
      <t xml:space="preserve">near </t>
    </r>
    <r>
      <rPr>
        <b/>
        <sz val="10"/>
        <rFont val="Arial"/>
        <family val="2"/>
      </rPr>
      <t>= 2*G</t>
    </r>
    <r>
      <rPr>
        <b/>
        <vertAlign val="subscript"/>
        <sz val="10"/>
        <rFont val="Arial"/>
        <family val="2"/>
      </rPr>
      <t>1</t>
    </r>
    <r>
      <rPr>
        <b/>
        <sz val="10"/>
        <rFont val="Arial"/>
        <family val="2"/>
      </rPr>
      <t>E =</t>
    </r>
  </si>
  <si>
    <r>
      <t>H</t>
    </r>
    <r>
      <rPr>
        <b/>
        <vertAlign val="subscript"/>
        <sz val="10"/>
        <rFont val="Arial"/>
        <family val="2"/>
      </rPr>
      <t xml:space="preserve">far </t>
    </r>
    <r>
      <rPr>
        <b/>
        <sz val="10"/>
        <rFont val="Arial"/>
        <family val="2"/>
      </rPr>
      <t>= 2*G</t>
    </r>
    <r>
      <rPr>
        <b/>
        <vertAlign val="subscript"/>
        <sz val="10"/>
        <rFont val="Arial"/>
        <family val="2"/>
      </rPr>
      <t>2</t>
    </r>
    <r>
      <rPr>
        <b/>
        <sz val="10"/>
        <rFont val="Arial"/>
        <family val="2"/>
      </rPr>
      <t>F =</t>
    </r>
  </si>
  <si>
    <t>Area =</t>
  </si>
  <si>
    <r>
      <t>m</t>
    </r>
    <r>
      <rPr>
        <b/>
        <vertAlign val="superscript"/>
        <sz val="10"/>
        <rFont val="Arial"/>
        <family val="2"/>
      </rPr>
      <t>2</t>
    </r>
  </si>
  <si>
    <t>Sensor #</t>
  </si>
  <si>
    <t>Sensor name</t>
  </si>
  <si>
    <t>Half Angle</t>
  </si>
  <si>
    <t>13°/32</t>
  </si>
  <si>
    <r>
      <t>Angle from Surface Normal (</t>
    </r>
    <r>
      <rPr>
        <b/>
        <sz val="11"/>
        <color indexed="8"/>
        <rFont val="Calibri"/>
        <family val="2"/>
      </rPr>
      <t>θ) =</t>
    </r>
  </si>
  <si>
    <t>Height above surface (m) =</t>
  </si>
  <si>
    <t>If you can see this….Use "Compatible Version" on the next sheet</t>
  </si>
  <si>
    <t>Results</t>
  </si>
  <si>
    <t>Mounting parameters</t>
  </si>
  <si>
    <t>Details and Dimensions</t>
  </si>
  <si>
    <t>Angle from surface normal (°) =</t>
  </si>
  <si>
    <t>Max Theta</t>
  </si>
  <si>
    <t>AS-010</t>
  </si>
  <si>
    <t>AS-011</t>
  </si>
  <si>
    <t>Accessory =</t>
  </si>
  <si>
    <r>
      <t>Angle from Surface Normal (</t>
    </r>
    <r>
      <rPr>
        <b/>
        <sz val="11"/>
        <rFont val="Calibri"/>
        <family val="2"/>
      </rPr>
      <t>θ) =</t>
    </r>
  </si>
  <si>
    <r>
      <rPr>
        <b/>
        <sz val="10"/>
        <rFont val="Arial"/>
        <family val="2"/>
      </rPr>
      <t>Note to user:</t>
    </r>
    <r>
      <rPr>
        <sz val="10"/>
        <rFont val="Arial"/>
        <family val="2"/>
      </rPr>
      <t xml:space="preserve"> Choose an accessory cap, then input sensor height and angle (from normal to target surface). Visible surface area is calculated from the input parameters. At large angles and heights, it may be possible to see the horizon, and receive nearly infinite or unreal values for the calculated target area. Therefore, Apogee Instruments recommends the mounting angle to be no larger than 12° and 74°, for the AS-010 and AS-011, respectively. The images below illustrate the geometry and calculations, with the correspoding dimensional values listed underneath.</t>
    </r>
  </si>
  <si>
    <t>Choose a Spectroradiometer Accessory Cap</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</si>
</sst>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vertAlign val="superscript"/>
      <sz val="11"/>
      <color indexed="8"/>
      <name val="Calibri"/>
      <family val="2"/>
    </font>
    <font>
      <sz val="10"/>
      <name val="Arial"/>
      <family val="2"/>
    </font>
    <font>
      <b/>
      <sz val="10"/>
      <name val="Arial"/>
      <family val="2"/>
    </font>
    <font>
      <b/>
      <sz val="10"/>
      <name val="Calibri"/>
      <family val="2"/>
    </font>
    <font>
      <b/>
      <vertAlign val="subscript"/>
      <sz val="10"/>
      <name val="Calibri"/>
      <family val="2"/>
    </font>
    <font>
      <b/>
      <vertAlign val="superscript"/>
      <sz val="10"/>
      <name val="Arial"/>
      <family val="2"/>
    </font>
    <font>
      <b/>
      <vertAlign val="subscript"/>
      <sz val="10"/>
      <name val="Arial"/>
      <family val="2"/>
    </font>
    <font>
      <i/>
      <sz val="8"/>
      <name val="Arial"/>
      <family val="2"/>
    </font>
    <font>
      <b/>
      <sz val="11"/>
      <color indexed="8"/>
      <name val="Calibri"/>
      <family val="2"/>
    </font>
    <font>
      <b/>
      <sz val="11"/>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i/>
      <sz val="12"/>
      <color rgb="FFFF0000"/>
      <name val="Calibri"/>
      <family val="2"/>
      <scheme val="minor"/>
    </font>
    <font>
      <i/>
      <sz val="12"/>
      <color theme="1" tint="0.34998626667073579"/>
      <name val="Calibri"/>
      <family val="2"/>
      <scheme val="minor"/>
    </font>
    <font>
      <b/>
      <sz val="14"/>
      <color theme="0"/>
      <name val="Calibri"/>
      <family val="2"/>
      <scheme val="minor"/>
    </font>
    <font>
      <b/>
      <sz val="14"/>
      <color theme="1"/>
      <name val="Calibri"/>
      <family val="2"/>
      <scheme val="minor"/>
    </font>
    <font>
      <sz val="12"/>
      <color theme="1"/>
      <name val="Calibri"/>
      <family val="2"/>
      <scheme val="minor"/>
    </font>
    <font>
      <b/>
      <sz val="11"/>
      <name val="Calibri"/>
      <family val="2"/>
      <scheme val="minor"/>
    </font>
    <font>
      <sz val="8"/>
      <color rgb="FF000000"/>
      <name val="Segoe UI"/>
      <family val="2"/>
    </font>
  </fonts>
  <fills count="10">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66"/>
        <bgColor indexed="64"/>
      </patternFill>
    </fill>
    <fill>
      <patternFill patternType="solid">
        <fgColor theme="9" tint="0.79998168889431442"/>
        <bgColor indexed="64"/>
      </patternFill>
    </fill>
    <fill>
      <patternFill patternType="solid">
        <fgColor rgb="FF2C7248"/>
        <bgColor indexed="64"/>
      </patternFill>
    </fill>
    <fill>
      <patternFill patternType="solid">
        <fgColor rgb="FFFFFFCC"/>
        <bgColor indexed="64"/>
      </patternFill>
    </fill>
  </fills>
  <borders count="16">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11" fillId="2" borderId="15" applyNumberFormat="0" applyFont="0" applyAlignment="0" applyProtection="0"/>
  </cellStyleXfs>
  <cellXfs count="88">
    <xf numFmtId="0" fontId="0" fillId="0" borderId="0" xfId="0"/>
    <xf numFmtId="0" fontId="0" fillId="3" borderId="0"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0" xfId="0" applyFont="1" applyFill="1" applyBorder="1"/>
    <xf numFmtId="0" fontId="0" fillId="3" borderId="1" xfId="0" applyFont="1" applyFill="1" applyBorder="1"/>
    <xf numFmtId="0" fontId="0" fillId="3" borderId="4" xfId="0" applyFont="1" applyFill="1" applyBorder="1"/>
    <xf numFmtId="0" fontId="0" fillId="3" borderId="5" xfId="0" applyFont="1" applyFill="1" applyBorder="1"/>
    <xf numFmtId="0" fontId="0" fillId="3" borderId="6" xfId="0" applyFont="1" applyFill="1" applyBorder="1" applyAlignment="1">
      <alignment horizontal="right"/>
    </xf>
    <xf numFmtId="0" fontId="0" fillId="3" borderId="2" xfId="0" applyFont="1" applyFill="1" applyBorder="1" applyAlignment="1">
      <alignment horizontal="right"/>
    </xf>
    <xf numFmtId="0" fontId="2" fillId="3" borderId="0" xfId="1" applyFont="1" applyFill="1" applyBorder="1" applyAlignment="1">
      <alignment vertical="center" wrapText="1"/>
    </xf>
    <xf numFmtId="0" fontId="2" fillId="3" borderId="0" xfId="0" applyFont="1" applyFill="1" applyBorder="1" applyAlignment="1">
      <alignment horizontal="center"/>
    </xf>
    <xf numFmtId="0" fontId="14" fillId="3" borderId="0" xfId="0" applyFont="1" applyFill="1" applyBorder="1"/>
    <xf numFmtId="0" fontId="8" fillId="3" borderId="0" xfId="0" applyFont="1" applyFill="1"/>
    <xf numFmtId="0" fontId="0" fillId="3" borderId="4" xfId="0" applyFill="1" applyBorder="1" applyAlignment="1">
      <alignment horizontal="center"/>
    </xf>
    <xf numFmtId="0" fontId="2" fillId="3" borderId="5" xfId="0" applyFont="1"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2" fillId="3" borderId="8" xfId="0" applyFont="1" applyFill="1" applyBorder="1" applyAlignment="1">
      <alignment horizontal="center"/>
    </xf>
    <xf numFmtId="0" fontId="15" fillId="3" borderId="0" xfId="0" applyFont="1" applyFill="1" applyBorder="1"/>
    <xf numFmtId="0" fontId="0" fillId="3" borderId="0" xfId="0" applyFont="1" applyFill="1" applyBorder="1" applyProtection="1">
      <protection locked="0"/>
    </xf>
    <xf numFmtId="0" fontId="0" fillId="3" borderId="7" xfId="0" applyFont="1" applyFill="1" applyBorder="1"/>
    <xf numFmtId="0" fontId="0" fillId="3" borderId="8" xfId="0" applyFont="1" applyFill="1" applyBorder="1"/>
    <xf numFmtId="0" fontId="3" fillId="3" borderId="2" xfId="0" applyFont="1" applyFill="1" applyBorder="1" applyAlignment="1">
      <alignment horizontal="right"/>
    </xf>
    <xf numFmtId="0" fontId="3" fillId="3" borderId="3" xfId="0" applyFont="1" applyFill="1" applyBorder="1" applyAlignment="1">
      <alignment horizontal="right"/>
    </xf>
    <xf numFmtId="0" fontId="0" fillId="3" borderId="9" xfId="0" applyFont="1" applyFill="1" applyBorder="1"/>
    <xf numFmtId="0" fontId="0" fillId="3" borderId="10" xfId="0" applyFont="1" applyFill="1" applyBorder="1"/>
    <xf numFmtId="0" fontId="3" fillId="0" borderId="11" xfId="0" applyFont="1" applyBorder="1" applyAlignment="1">
      <alignment horizontal="right"/>
    </xf>
    <xf numFmtId="0" fontId="3" fillId="3" borderId="10" xfId="0" applyFont="1" applyFill="1" applyBorder="1" applyAlignment="1">
      <alignment horizontal="center"/>
    </xf>
    <xf numFmtId="0" fontId="3" fillId="0" borderId="12" xfId="0" applyFont="1" applyBorder="1" applyAlignment="1">
      <alignment horizontal="left"/>
    </xf>
    <xf numFmtId="0" fontId="6" fillId="3" borderId="13" xfId="0" applyFont="1" applyFill="1" applyBorder="1"/>
    <xf numFmtId="0" fontId="3" fillId="3" borderId="13" xfId="0" applyFont="1" applyFill="1" applyBorder="1"/>
    <xf numFmtId="0" fontId="3" fillId="3" borderId="14" xfId="0" applyFont="1" applyFill="1" applyBorder="1"/>
    <xf numFmtId="0" fontId="14" fillId="3" borderId="8" xfId="0" applyFont="1" applyFill="1" applyBorder="1"/>
    <xf numFmtId="0" fontId="16" fillId="3" borderId="8" xfId="0" applyFont="1" applyFill="1" applyBorder="1" applyAlignment="1">
      <alignment vertical="top"/>
    </xf>
    <xf numFmtId="0" fontId="12" fillId="3" borderId="2" xfId="0" applyFont="1" applyFill="1" applyBorder="1" applyAlignment="1">
      <alignment horizontal="right"/>
    </xf>
    <xf numFmtId="0" fontId="2" fillId="4" borderId="2" xfId="0" applyFont="1" applyFill="1" applyBorder="1" applyAlignment="1">
      <alignment horizontal="center"/>
    </xf>
    <xf numFmtId="2" fontId="14" fillId="4" borderId="2" xfId="0" applyNumberFormat="1" applyFont="1" applyFill="1" applyBorder="1" applyAlignment="1">
      <alignment horizontal="center"/>
    </xf>
    <xf numFmtId="2" fontId="0" fillId="5" borderId="3" xfId="0" applyNumberFormat="1" applyFill="1" applyBorder="1" applyAlignment="1">
      <alignment horizontal="center"/>
    </xf>
    <xf numFmtId="0" fontId="0" fillId="4" borderId="13" xfId="0" applyFont="1" applyFill="1" applyBorder="1" applyAlignment="1">
      <alignment horizontal="center" vertical="center"/>
    </xf>
    <xf numFmtId="0" fontId="0" fillId="4" borderId="0" xfId="0" applyFill="1" applyBorder="1" applyAlignment="1">
      <alignment horizontal="center" vertical="center"/>
    </xf>
    <xf numFmtId="2" fontId="0" fillId="4" borderId="0" xfId="0" applyNumberFormat="1" applyFill="1" applyBorder="1" applyAlignment="1">
      <alignment horizontal="center" vertical="center"/>
    </xf>
    <xf numFmtId="2" fontId="0" fillId="6" borderId="8" xfId="0" applyNumberFormat="1" applyFill="1" applyBorder="1" applyAlignment="1">
      <alignment horizontal="center" vertical="center"/>
    </xf>
    <xf numFmtId="0" fontId="20" fillId="3" borderId="2" xfId="0" applyFont="1" applyFill="1" applyBorder="1" applyAlignment="1">
      <alignment horizontal="right"/>
    </xf>
    <xf numFmtId="0" fontId="0" fillId="7" borderId="9" xfId="0" applyFont="1" applyFill="1" applyBorder="1"/>
    <xf numFmtId="0" fontId="14" fillId="7" borderId="10" xfId="0" applyFont="1" applyFill="1" applyBorder="1"/>
    <xf numFmtId="0" fontId="3" fillId="7" borderId="11" xfId="0" applyFont="1" applyFill="1" applyBorder="1" applyAlignment="1">
      <alignment horizontal="right"/>
    </xf>
    <xf numFmtId="0" fontId="3" fillId="7" borderId="11" xfId="0" applyFont="1" applyFill="1" applyBorder="1" applyAlignment="1">
      <alignment horizontal="center"/>
    </xf>
    <xf numFmtId="0" fontId="3" fillId="7" borderId="12" xfId="0" applyFont="1" applyFill="1" applyBorder="1" applyAlignment="1">
      <alignment horizontal="left"/>
    </xf>
    <xf numFmtId="0" fontId="2" fillId="2" borderId="4" xfId="1" applyFont="1" applyBorder="1" applyAlignment="1">
      <alignment horizontal="left" vertical="center" wrapText="1"/>
    </xf>
    <xf numFmtId="0" fontId="2" fillId="2" borderId="5" xfId="1" applyFont="1" applyBorder="1" applyAlignment="1">
      <alignment horizontal="left" vertical="center" wrapText="1"/>
    </xf>
    <xf numFmtId="0" fontId="2" fillId="2" borderId="6" xfId="1" applyFont="1" applyBorder="1" applyAlignment="1">
      <alignment horizontal="left" vertical="center" wrapText="1"/>
    </xf>
    <xf numFmtId="0" fontId="2" fillId="2" borderId="1" xfId="1" applyFont="1" applyBorder="1" applyAlignment="1">
      <alignment horizontal="left" vertical="center" wrapText="1"/>
    </xf>
    <xf numFmtId="0" fontId="2" fillId="2" borderId="0" xfId="1" applyFont="1" applyBorder="1" applyAlignment="1">
      <alignment horizontal="left" vertical="center" wrapText="1"/>
    </xf>
    <xf numFmtId="0" fontId="2" fillId="2" borderId="2" xfId="1" applyFont="1" applyBorder="1" applyAlignment="1">
      <alignment horizontal="left" vertical="center" wrapText="1"/>
    </xf>
    <xf numFmtId="0" fontId="2" fillId="2" borderId="7" xfId="1" applyFont="1" applyBorder="1" applyAlignment="1">
      <alignment horizontal="left" vertical="center" wrapText="1"/>
    </xf>
    <xf numFmtId="0" fontId="2" fillId="2" borderId="8" xfId="1" applyFont="1" applyBorder="1" applyAlignment="1">
      <alignment horizontal="left" vertical="center" wrapText="1"/>
    </xf>
    <xf numFmtId="0" fontId="2" fillId="2" borderId="3" xfId="1" applyFont="1" applyBorder="1" applyAlignment="1">
      <alignment horizontal="left" vertical="center" wrapText="1"/>
    </xf>
    <xf numFmtId="0" fontId="17" fillId="8" borderId="9" xfId="0" applyFont="1" applyFill="1" applyBorder="1" applyAlignment="1">
      <alignment horizontal="center" vertical="center"/>
    </xf>
    <xf numFmtId="0" fontId="17" fillId="8" borderId="10" xfId="0" applyFont="1" applyFill="1" applyBorder="1" applyAlignment="1">
      <alignment horizontal="center" vertical="center"/>
    </xf>
    <xf numFmtId="0" fontId="17" fillId="8" borderId="11" xfId="0" applyFont="1" applyFill="1" applyBorder="1" applyAlignment="1">
      <alignment horizontal="center" vertical="center"/>
    </xf>
    <xf numFmtId="0" fontId="12" fillId="9" borderId="7" xfId="0" applyFont="1" applyFill="1" applyBorder="1" applyAlignment="1">
      <alignment horizontal="center"/>
    </xf>
    <xf numFmtId="0" fontId="12" fillId="9" borderId="3" xfId="0" applyFont="1" applyFill="1" applyBorder="1" applyAlignment="1">
      <alignment horizontal="center"/>
    </xf>
    <xf numFmtId="0" fontId="12" fillId="9" borderId="4" xfId="0" applyFont="1" applyFill="1" applyBorder="1" applyAlignment="1">
      <alignment horizontal="center"/>
    </xf>
    <xf numFmtId="0" fontId="12" fillId="9" borderId="6" xfId="0" applyFont="1" applyFill="1" applyBorder="1" applyAlignment="1">
      <alignment horizontal="center"/>
    </xf>
    <xf numFmtId="0" fontId="0" fillId="3" borderId="7" xfId="0" applyFont="1" applyFill="1" applyBorder="1" applyAlignment="1">
      <alignment horizontal="right" vertical="center"/>
    </xf>
    <xf numFmtId="0" fontId="0" fillId="3" borderId="8" xfId="0" applyFont="1" applyFill="1" applyBorder="1" applyAlignment="1">
      <alignment horizontal="right" vertical="center"/>
    </xf>
    <xf numFmtId="0" fontId="0" fillId="3" borderId="3" xfId="0" applyFont="1" applyFill="1" applyBorder="1" applyAlignment="1">
      <alignment horizontal="right" vertical="center"/>
    </xf>
    <xf numFmtId="2" fontId="18" fillId="6" borderId="9" xfId="1" applyNumberFormat="1" applyFont="1" applyFill="1" applyBorder="1" applyAlignment="1">
      <alignment horizontal="center" vertical="center"/>
    </xf>
    <xf numFmtId="2" fontId="18" fillId="6" borderId="11" xfId="1" applyNumberFormat="1" applyFont="1" applyFill="1" applyBorder="1" applyAlignment="1">
      <alignment horizontal="center" vertical="center"/>
    </xf>
    <xf numFmtId="0" fontId="19" fillId="7" borderId="9" xfId="0" applyFont="1" applyFill="1" applyBorder="1" applyAlignment="1" applyProtection="1">
      <alignment horizontal="center" vertical="center"/>
      <protection locked="0"/>
    </xf>
    <xf numFmtId="0" fontId="19" fillId="7" borderId="11" xfId="0" applyFont="1" applyFill="1" applyBorder="1" applyAlignment="1" applyProtection="1">
      <alignment horizontal="center" vertical="center"/>
      <protection locked="0"/>
    </xf>
    <xf numFmtId="0" fontId="0" fillId="7" borderId="9" xfId="0" applyFont="1" applyFill="1" applyBorder="1" applyAlignment="1" applyProtection="1">
      <alignment horizontal="center" vertical="center"/>
      <protection locked="0"/>
    </xf>
    <xf numFmtId="0" fontId="0" fillId="7" borderId="11" xfId="0" applyFont="1" applyFill="1" applyBorder="1" applyAlignment="1" applyProtection="1">
      <alignment horizontal="center" vertical="center"/>
      <protection locked="0"/>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3" xfId="0" applyFont="1" applyFill="1" applyBorder="1" applyAlignment="1">
      <alignment horizontal="center" vertical="center"/>
    </xf>
    <xf numFmtId="0" fontId="14" fillId="3" borderId="4" xfId="0" applyFont="1" applyFill="1" applyBorder="1" applyAlignment="1">
      <alignment horizontal="right" vertical="center" indent="1"/>
    </xf>
    <xf numFmtId="0" fontId="14" fillId="3" borderId="5" xfId="0" applyFont="1" applyFill="1" applyBorder="1" applyAlignment="1">
      <alignment horizontal="right" vertical="center" indent="1"/>
    </xf>
    <xf numFmtId="0" fontId="14" fillId="3" borderId="6" xfId="0" applyFont="1" applyFill="1" applyBorder="1" applyAlignment="1">
      <alignment horizontal="right" vertical="center" indent="1"/>
    </xf>
    <xf numFmtId="0" fontId="14" fillId="3" borderId="7" xfId="0" applyFont="1" applyFill="1" applyBorder="1" applyAlignment="1">
      <alignment horizontal="right" vertical="center"/>
    </xf>
    <xf numFmtId="0" fontId="14" fillId="3" borderId="8" xfId="0" applyFont="1" applyFill="1" applyBorder="1" applyAlignment="1">
      <alignment horizontal="right" vertical="center"/>
    </xf>
    <xf numFmtId="0" fontId="14" fillId="3" borderId="3" xfId="0" applyFont="1" applyFill="1" applyBorder="1" applyAlignment="1">
      <alignment horizontal="right" vertical="center"/>
    </xf>
  </cellXfs>
  <cellStyles count="2">
    <cellStyle name="Normal" xfId="0" builtinId="0"/>
    <cellStyle name="Note" xfId="1" builtinId="10"/>
  </cellStyles>
  <dxfs count="3">
    <dxf>
      <font>
        <color rgb="FFFF0000"/>
      </font>
    </dxf>
    <dxf>
      <font>
        <color theme="0"/>
      </font>
      <fill>
        <patternFill>
          <bgColor theme="0"/>
        </patternFill>
      </fill>
      <border>
        <left/>
        <right/>
        <top/>
        <bottom/>
      </border>
    </dxf>
    <dxf>
      <font>
        <strike val="0"/>
        <color theme="0"/>
      </font>
      <fill>
        <patternFill>
          <bgColor theme="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P$17"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114300</xdr:rowOff>
    </xdr:from>
    <xdr:to>
      <xdr:col>4</xdr:col>
      <xdr:colOff>476250</xdr:colOff>
      <xdr:row>5</xdr:row>
      <xdr:rowOff>57150</xdr:rowOff>
    </xdr:to>
    <xdr:pic>
      <xdr:nvPicPr>
        <xdr:cNvPr id="1039"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 y="114300"/>
          <a:ext cx="24003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9525</xdr:colOff>
          <xdr:row>7</xdr:row>
          <xdr:rowOff>47625</xdr:rowOff>
        </xdr:from>
        <xdr:to>
          <xdr:col>3</xdr:col>
          <xdr:colOff>276225</xdr:colOff>
          <xdr:row>8</xdr:row>
          <xdr:rowOff>142875</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FF00FF" mc:Ignorable="a14" a14:legacySpreadsheetColorIndex="1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AS-010 (Wide)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7</xdr:row>
          <xdr:rowOff>38100</xdr:rowOff>
        </xdr:from>
        <xdr:to>
          <xdr:col>5</xdr:col>
          <xdr:colOff>695325</xdr:colOff>
          <xdr:row>8</xdr:row>
          <xdr:rowOff>123825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AS-011 (Narrow)</a:t>
              </a:r>
            </a:p>
          </xdr:txBody>
        </xdr:sp>
        <xdr:clientData/>
      </xdr:twoCellAnchor>
    </mc:Choice>
    <mc:Fallback/>
  </mc:AlternateContent>
  <xdr:twoCellAnchor editAs="oneCell">
    <xdr:from>
      <xdr:col>1</xdr:col>
      <xdr:colOff>0</xdr:colOff>
      <xdr:row>14</xdr:row>
      <xdr:rowOff>9525</xdr:rowOff>
    </xdr:from>
    <xdr:to>
      <xdr:col>8</xdr:col>
      <xdr:colOff>9525</xdr:colOff>
      <xdr:row>32</xdr:row>
      <xdr:rowOff>133350</xdr:rowOff>
    </xdr:to>
    <xdr:pic>
      <xdr:nvPicPr>
        <xdr:cNvPr id="1040" name="Picture 16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552" t="16122" r="19772" b="6561"/>
        <a:stretch>
          <a:fillRect/>
        </a:stretch>
      </xdr:blipFill>
      <xdr:spPr bwMode="auto">
        <a:xfrm>
          <a:off x="695325" y="3009900"/>
          <a:ext cx="4943475" cy="35528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657225</xdr:colOff>
      <xdr:row>15</xdr:row>
      <xdr:rowOff>0</xdr:rowOff>
    </xdr:from>
    <xdr:to>
      <xdr:col>7</xdr:col>
      <xdr:colOff>285750</xdr:colOff>
      <xdr:row>20</xdr:row>
      <xdr:rowOff>28575</xdr:rowOff>
    </xdr:to>
    <xdr:sp macro="" textlink="">
      <xdr:nvSpPr>
        <xdr:cNvPr id="2" name="TextBox 1"/>
        <xdr:cNvSpPr txBox="1"/>
      </xdr:nvSpPr>
      <xdr:spPr>
        <a:xfrm>
          <a:off x="2762250" y="3190875"/>
          <a:ext cx="2447925" cy="981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AS-010 / AS-011:</a:t>
          </a:r>
        </a:p>
        <a:p>
          <a:r>
            <a:rPr lang="en-US" sz="1200"/>
            <a:t>Assume</a:t>
          </a:r>
          <a:r>
            <a:rPr lang="en-US" sz="1200" baseline="0"/>
            <a:t> radial symmetry and z is perpendicular to xy plane</a:t>
          </a: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U45"/>
  <sheetViews>
    <sheetView tabSelected="1" workbookViewId="0">
      <selection activeCell="E11" sqref="E11:F11"/>
    </sheetView>
  </sheetViews>
  <sheetFormatPr defaultColWidth="9.125" defaultRowHeight="15" x14ac:dyDescent="0.25"/>
  <cols>
    <col min="1" max="1" width="9.125" style="5"/>
    <col min="2" max="14" width="9.25" style="5" customWidth="1"/>
    <col min="15" max="15" width="10.875" style="5" customWidth="1"/>
    <col min="16" max="16" width="0.375" style="5" hidden="1" customWidth="1"/>
    <col min="17" max="17" width="0.125" style="5" customWidth="1"/>
    <col min="18" max="18" width="0.125" style="5" hidden="1" customWidth="1"/>
    <col min="19" max="19" width="0.25" style="5" hidden="1" customWidth="1"/>
    <col min="20" max="20" width="20.5" style="5" hidden="1" customWidth="1"/>
    <col min="21" max="21" width="6.625" style="5" hidden="1" customWidth="1"/>
    <col min="22" max="16384" width="9.125" style="5"/>
  </cols>
  <sheetData>
    <row r="1" spans="2:21" ht="15" customHeight="1" x14ac:dyDescent="0.25">
      <c r="G1" s="51" t="s">
        <v>46</v>
      </c>
      <c r="H1" s="52"/>
      <c r="I1" s="52"/>
      <c r="J1" s="52"/>
      <c r="K1" s="52"/>
      <c r="L1" s="52"/>
      <c r="M1" s="52"/>
      <c r="N1" s="53"/>
      <c r="O1" s="11"/>
    </row>
    <row r="2" spans="2:21" x14ac:dyDescent="0.25">
      <c r="G2" s="54"/>
      <c r="H2" s="55"/>
      <c r="I2" s="55"/>
      <c r="J2" s="55"/>
      <c r="K2" s="55"/>
      <c r="L2" s="55"/>
      <c r="M2" s="55"/>
      <c r="N2" s="56"/>
      <c r="O2" s="11"/>
    </row>
    <row r="3" spans="2:21" x14ac:dyDescent="0.25">
      <c r="G3" s="54"/>
      <c r="H3" s="55"/>
      <c r="I3" s="55"/>
      <c r="J3" s="55"/>
      <c r="K3" s="55"/>
      <c r="L3" s="55"/>
      <c r="M3" s="55"/>
      <c r="N3" s="56"/>
      <c r="O3" s="11"/>
    </row>
    <row r="4" spans="2:21" x14ac:dyDescent="0.25">
      <c r="G4" s="54"/>
      <c r="H4" s="55"/>
      <c r="I4" s="55"/>
      <c r="J4" s="55"/>
      <c r="K4" s="55"/>
      <c r="L4" s="55"/>
      <c r="M4" s="55"/>
      <c r="N4" s="56"/>
      <c r="O4" s="11"/>
    </row>
    <row r="5" spans="2:21" x14ac:dyDescent="0.25">
      <c r="G5" s="57"/>
      <c r="H5" s="58"/>
      <c r="I5" s="58"/>
      <c r="J5" s="58"/>
      <c r="K5" s="58"/>
      <c r="L5" s="58"/>
      <c r="M5" s="58"/>
      <c r="N5" s="59"/>
      <c r="O5" s="11"/>
    </row>
    <row r="6" spans="2:21" ht="15" customHeight="1" x14ac:dyDescent="0.25">
      <c r="D6" s="36"/>
      <c r="E6" s="36"/>
      <c r="F6" s="36"/>
    </row>
    <row r="7" spans="2:21" ht="21.95" customHeight="1" x14ac:dyDescent="0.25">
      <c r="B7" s="60" t="s">
        <v>47</v>
      </c>
      <c r="C7" s="61"/>
      <c r="D7" s="61"/>
      <c r="E7" s="61"/>
      <c r="F7" s="62"/>
      <c r="H7" s="60" t="s">
        <v>37</v>
      </c>
      <c r="I7" s="61"/>
      <c r="J7" s="61"/>
      <c r="K7" s="61"/>
      <c r="L7" s="62"/>
    </row>
    <row r="8" spans="2:21" x14ac:dyDescent="0.25">
      <c r="B8" s="76" t="s">
        <v>36</v>
      </c>
      <c r="C8" s="77"/>
      <c r="D8" s="77"/>
      <c r="E8" s="77"/>
      <c r="F8" s="78"/>
      <c r="H8" s="7"/>
      <c r="I8" s="8"/>
      <c r="J8" s="9" t="s">
        <v>44</v>
      </c>
      <c r="K8" s="65" t="str">
        <f>VLOOKUP(P17,R17:U20,2)</f>
        <v>AS-011</v>
      </c>
      <c r="L8" s="66"/>
    </row>
    <row r="9" spans="2:21" x14ac:dyDescent="0.25">
      <c r="B9" s="79"/>
      <c r="C9" s="80"/>
      <c r="D9" s="80"/>
      <c r="E9" s="80"/>
      <c r="F9" s="81"/>
      <c r="H9" s="6"/>
      <c r="J9" s="10" t="s">
        <v>0</v>
      </c>
      <c r="K9" s="63" t="str">
        <f>(VLOOKUP(P17,R17:T20,3))&amp;"°"</f>
        <v>12.5°</v>
      </c>
      <c r="L9" s="64"/>
    </row>
    <row r="10" spans="2:21" ht="21.95" customHeight="1" x14ac:dyDescent="0.25">
      <c r="B10" s="60" t="s">
        <v>38</v>
      </c>
      <c r="C10" s="61"/>
      <c r="D10" s="61"/>
      <c r="E10" s="61"/>
      <c r="F10" s="62"/>
      <c r="H10" s="67" t="s">
        <v>1</v>
      </c>
      <c r="I10" s="68"/>
      <c r="J10" s="69"/>
      <c r="K10" s="70">
        <f>IF(E11&lt;=(VLOOKUP(P17,R17:U20,4)),(IF(P17=4,L45,M28)),"Warning*")</f>
        <v>0.37245846377306596</v>
      </c>
      <c r="L10" s="71"/>
    </row>
    <row r="11" spans="2:21" ht="18" customHeight="1" x14ac:dyDescent="0.25">
      <c r="B11" s="82" t="s">
        <v>40</v>
      </c>
      <c r="C11" s="83"/>
      <c r="D11" s="84"/>
      <c r="E11" s="74">
        <v>12</v>
      </c>
      <c r="F11" s="75"/>
    </row>
    <row r="12" spans="2:21" ht="18" customHeight="1" x14ac:dyDescent="0.25">
      <c r="B12" s="85" t="s">
        <v>35</v>
      </c>
      <c r="C12" s="86"/>
      <c r="D12" s="87"/>
      <c r="E12" s="72">
        <v>1.5</v>
      </c>
      <c r="F12" s="73"/>
      <c r="I12" s="21" t="str">
        <f>IF(K10="Warning*","*Result may be unrealistic. Input a smaller angle. See note above↑","")</f>
        <v/>
      </c>
    </row>
    <row r="14" spans="2:21" ht="21.95" customHeight="1" x14ac:dyDescent="0.25">
      <c r="B14" s="60" t="s">
        <v>39</v>
      </c>
      <c r="C14" s="61"/>
      <c r="D14" s="61"/>
      <c r="E14" s="61"/>
      <c r="F14" s="61"/>
      <c r="G14" s="61"/>
      <c r="H14" s="61"/>
      <c r="I14" s="61"/>
      <c r="J14" s="61"/>
      <c r="K14" s="61"/>
      <c r="L14" s="61"/>
      <c r="M14" s="61"/>
      <c r="N14" s="62"/>
    </row>
    <row r="15" spans="2:21" x14ac:dyDescent="0.25">
      <c r="I15" s="46"/>
      <c r="J15" s="47"/>
      <c r="K15" s="47"/>
      <c r="L15" s="48" t="s">
        <v>3</v>
      </c>
      <c r="M15" s="49" t="str">
        <f>IF(P17=4,"",VLOOKUP(P17,R17:S20,2))</f>
        <v>AS-011</v>
      </c>
      <c r="N15" s="50" t="s">
        <v>17</v>
      </c>
    </row>
    <row r="16" spans="2:21" x14ac:dyDescent="0.25">
      <c r="I16" s="6"/>
      <c r="J16" s="13"/>
      <c r="K16" s="13"/>
      <c r="L16" s="25" t="s">
        <v>4</v>
      </c>
      <c r="M16" s="38">
        <f>IF(P17=4,"",VLOOKUP(P17,R17:T20,3))</f>
        <v>12.5</v>
      </c>
      <c r="N16" s="32" t="s">
        <v>19</v>
      </c>
      <c r="R16" s="14" t="s">
        <v>30</v>
      </c>
      <c r="S16" s="14" t="s">
        <v>31</v>
      </c>
      <c r="T16" s="14" t="s">
        <v>32</v>
      </c>
      <c r="U16" s="14" t="s">
        <v>41</v>
      </c>
    </row>
    <row r="17" spans="9:21" x14ac:dyDescent="0.25">
      <c r="I17" s="6"/>
      <c r="J17" s="13"/>
      <c r="K17" s="13"/>
      <c r="L17" s="37" t="s">
        <v>34</v>
      </c>
      <c r="M17" s="38">
        <f>E11</f>
        <v>12</v>
      </c>
      <c r="N17" s="32" t="s">
        <v>19</v>
      </c>
      <c r="P17" s="22">
        <v>2</v>
      </c>
      <c r="R17" s="15">
        <v>1</v>
      </c>
      <c r="S17" s="16" t="s">
        <v>42</v>
      </c>
      <c r="T17" s="17">
        <v>75</v>
      </c>
      <c r="U17" s="18">
        <v>12</v>
      </c>
    </row>
    <row r="18" spans="9:21" x14ac:dyDescent="0.25">
      <c r="I18" s="6"/>
      <c r="J18" s="13"/>
      <c r="K18" s="13"/>
      <c r="L18" s="25" t="s">
        <v>5</v>
      </c>
      <c r="M18" s="39">
        <f>IF(P17=4,"",E12*TAN((M17)*PI()/180))</f>
        <v>0.31883484250503313</v>
      </c>
      <c r="N18" s="33" t="s">
        <v>22</v>
      </c>
      <c r="R18" s="2">
        <v>2</v>
      </c>
      <c r="S18" s="12" t="s">
        <v>43</v>
      </c>
      <c r="T18" s="1">
        <v>12.5</v>
      </c>
      <c r="U18" s="3">
        <v>74</v>
      </c>
    </row>
    <row r="19" spans="9:21" x14ac:dyDescent="0.25">
      <c r="I19" s="6"/>
      <c r="J19" s="13"/>
      <c r="K19" s="13"/>
      <c r="L19" s="25" t="s">
        <v>6</v>
      </c>
      <c r="M19" s="39">
        <f>IF(P17=4,"",E12*TAN((M17+M16)*PI()/180))</f>
        <v>0.68358938329887697</v>
      </c>
      <c r="N19" s="33" t="s">
        <v>22</v>
      </c>
      <c r="R19" s="2">
        <v>3</v>
      </c>
      <c r="S19" s="12" t="s">
        <v>2</v>
      </c>
      <c r="T19" s="1">
        <v>14</v>
      </c>
      <c r="U19" s="3">
        <v>73</v>
      </c>
    </row>
    <row r="20" spans="9:21" x14ac:dyDescent="0.25">
      <c r="I20" s="6"/>
      <c r="J20" s="13"/>
      <c r="K20" s="13"/>
      <c r="L20" s="25" t="s">
        <v>7</v>
      </c>
      <c r="M20" s="39">
        <f>IF(P17=4,"",E12*TAN((M17-M16)*PI()/180))</f>
        <v>-1.3090301686138183E-2</v>
      </c>
      <c r="N20" s="33" t="s">
        <v>22</v>
      </c>
      <c r="R20" s="19">
        <v>4</v>
      </c>
      <c r="S20" s="20" t="s">
        <v>16</v>
      </c>
      <c r="T20" s="20" t="s">
        <v>33</v>
      </c>
      <c r="U20" s="4">
        <v>74</v>
      </c>
    </row>
    <row r="21" spans="9:21" x14ac:dyDescent="0.25">
      <c r="I21" s="6"/>
      <c r="J21" s="13"/>
      <c r="K21" s="13"/>
      <c r="L21" s="25" t="s">
        <v>8</v>
      </c>
      <c r="M21" s="39">
        <f>IF(P17=4,"",M19-M20)</f>
        <v>0.6966796849850152</v>
      </c>
      <c r="N21" s="33" t="s">
        <v>22</v>
      </c>
    </row>
    <row r="22" spans="9:21" x14ac:dyDescent="0.25">
      <c r="I22" s="6"/>
      <c r="J22" s="13"/>
      <c r="K22" s="13"/>
      <c r="L22" s="25" t="s">
        <v>9</v>
      </c>
      <c r="M22" s="39">
        <f>IF(P17=4,"",M21/2)</f>
        <v>0.3483398424925076</v>
      </c>
      <c r="N22" s="33" t="s">
        <v>22</v>
      </c>
    </row>
    <row r="23" spans="9:21" x14ac:dyDescent="0.25">
      <c r="I23" s="6"/>
      <c r="J23" s="13"/>
      <c r="K23" s="13"/>
      <c r="L23" s="25" t="s">
        <v>10</v>
      </c>
      <c r="M23" s="39">
        <f>IF(P17=4,"",M19-M18)</f>
        <v>0.36475454079384384</v>
      </c>
      <c r="N23" s="33" t="s">
        <v>22</v>
      </c>
    </row>
    <row r="24" spans="9:21" x14ac:dyDescent="0.25">
      <c r="I24" s="6"/>
      <c r="J24" s="13"/>
      <c r="K24" s="13"/>
      <c r="L24" s="25" t="s">
        <v>11</v>
      </c>
      <c r="M24" s="39">
        <f>IF(P17=4,"",M23-M22)</f>
        <v>1.6414698301336239E-2</v>
      </c>
      <c r="N24" s="33" t="s">
        <v>22</v>
      </c>
    </row>
    <row r="25" spans="9:21" x14ac:dyDescent="0.25">
      <c r="I25" s="6"/>
      <c r="J25" s="13"/>
      <c r="K25" s="13"/>
      <c r="L25" s="25" t="s">
        <v>12</v>
      </c>
      <c r="M25" s="39">
        <f>IF(P17=4,"",SQRT(M18^2+E12^2))</f>
        <v>1.533510892297544</v>
      </c>
      <c r="N25" s="33" t="s">
        <v>22</v>
      </c>
    </row>
    <row r="26" spans="9:21" x14ac:dyDescent="0.25">
      <c r="I26" s="6"/>
      <c r="J26" s="13"/>
      <c r="K26" s="13"/>
      <c r="L26" s="25" t="s">
        <v>13</v>
      </c>
      <c r="M26" s="39">
        <f>IF(P17=4,"",M25*TAN(M16*PI()/180))</f>
        <v>0.33997117992717774</v>
      </c>
      <c r="N26" s="33" t="s">
        <v>22</v>
      </c>
    </row>
    <row r="27" spans="9:21" x14ac:dyDescent="0.25">
      <c r="I27" s="6"/>
      <c r="J27" s="13"/>
      <c r="K27" s="13"/>
      <c r="L27" s="25" t="s">
        <v>14</v>
      </c>
      <c r="M27" s="39">
        <f>IF(P17=4,"",SQRT(M26^2/(1-(M24/M22)^2)))</f>
        <v>0.34034927030876228</v>
      </c>
      <c r="N27" s="33" t="s">
        <v>22</v>
      </c>
    </row>
    <row r="28" spans="9:21" x14ac:dyDescent="0.25">
      <c r="I28" s="23"/>
      <c r="J28" s="35"/>
      <c r="K28" s="35"/>
      <c r="L28" s="26" t="s">
        <v>15</v>
      </c>
      <c r="M28" s="40">
        <f>IF(P17=4,"",PI()*M22*M27)</f>
        <v>0.37245846377306596</v>
      </c>
      <c r="N28" s="34" t="s">
        <v>29</v>
      </c>
    </row>
    <row r="35" spans="8:13" x14ac:dyDescent="0.25">
      <c r="H35" s="27"/>
      <c r="I35" s="28"/>
      <c r="J35" s="28"/>
      <c r="K35" s="29" t="s">
        <v>3</v>
      </c>
      <c r="L35" s="30" t="str">
        <f>IF(P17=4,"SI-1H1","")</f>
        <v/>
      </c>
      <c r="M35" s="31" t="s">
        <v>17</v>
      </c>
    </row>
    <row r="36" spans="8:13" x14ac:dyDescent="0.25">
      <c r="H36" s="6"/>
      <c r="K36" s="25" t="s">
        <v>18</v>
      </c>
      <c r="L36" s="42" t="str">
        <f>IF(P17=4,32,"")</f>
        <v/>
      </c>
      <c r="M36" s="32" t="s">
        <v>19</v>
      </c>
    </row>
    <row r="37" spans="8:13" x14ac:dyDescent="0.25">
      <c r="H37" s="6"/>
      <c r="K37" s="25" t="s">
        <v>20</v>
      </c>
      <c r="L37" s="42" t="str">
        <f>IF(P17=4,13,"")</f>
        <v/>
      </c>
      <c r="M37" s="32" t="s">
        <v>19</v>
      </c>
    </row>
    <row r="38" spans="8:13" x14ac:dyDescent="0.25">
      <c r="H38" s="6"/>
      <c r="K38" s="45" t="s">
        <v>45</v>
      </c>
      <c r="L38" s="41">
        <f>E11</f>
        <v>12</v>
      </c>
      <c r="M38" s="32" t="s">
        <v>19</v>
      </c>
    </row>
    <row r="39" spans="8:13" x14ac:dyDescent="0.25">
      <c r="H39" s="6"/>
      <c r="K39" s="25" t="s">
        <v>21</v>
      </c>
      <c r="L39" s="43" t="str">
        <f>IF(P17=4,E12*TAN(RADIANS(L38)),"")</f>
        <v/>
      </c>
      <c r="M39" s="33" t="s">
        <v>22</v>
      </c>
    </row>
    <row r="40" spans="8:13" x14ac:dyDescent="0.25">
      <c r="H40" s="6"/>
      <c r="K40" s="25" t="s">
        <v>23</v>
      </c>
      <c r="L40" s="43" t="str">
        <f>IF(P17=4,E12*TAN(RADIANS(L38-L37)),"")</f>
        <v/>
      </c>
      <c r="M40" s="33" t="s">
        <v>22</v>
      </c>
    </row>
    <row r="41" spans="8:13" x14ac:dyDescent="0.25">
      <c r="H41" s="6"/>
      <c r="K41" s="25" t="s">
        <v>24</v>
      </c>
      <c r="L41" s="43" t="str">
        <f>IF(P17=4,E12*TAN(RADIANS(L38+L37)),"")</f>
        <v/>
      </c>
      <c r="M41" s="33" t="s">
        <v>22</v>
      </c>
    </row>
    <row r="42" spans="8:13" x14ac:dyDescent="0.25">
      <c r="H42" s="6"/>
      <c r="K42" s="25" t="s">
        <v>25</v>
      </c>
      <c r="L42" s="43" t="str">
        <f>IF(P17=4,L41-L40,"")</f>
        <v/>
      </c>
      <c r="M42" s="33" t="s">
        <v>22</v>
      </c>
    </row>
    <row r="43" spans="8:13" x14ac:dyDescent="0.25">
      <c r="H43" s="6"/>
      <c r="K43" s="25" t="s">
        <v>26</v>
      </c>
      <c r="L43" s="43" t="str">
        <f>IF(P17=4,(-0.0002857635*L38^2 - 0.01268361*L38 + 2.525659)*L42,"")</f>
        <v/>
      </c>
      <c r="M43" s="33" t="s">
        <v>22</v>
      </c>
    </row>
    <row r="44" spans="8:13" x14ac:dyDescent="0.25">
      <c r="H44" s="6"/>
      <c r="K44" s="25" t="s">
        <v>27</v>
      </c>
      <c r="L44" s="43" t="str">
        <f>IF(P17=4,(-0.0003701015*L38^2 + 0.009409036*L38 + 2.518837)*L42,"")</f>
        <v/>
      </c>
      <c r="M44" s="33" t="s">
        <v>22</v>
      </c>
    </row>
    <row r="45" spans="8:13" x14ac:dyDescent="0.25">
      <c r="H45" s="23"/>
      <c r="I45" s="24"/>
      <c r="J45" s="24"/>
      <c r="K45" s="26" t="s">
        <v>28</v>
      </c>
      <c r="L45" s="44" t="str">
        <f>IF(P17=4,L42*(L43+L44)/2,"")</f>
        <v/>
      </c>
      <c r="M45" s="34" t="s">
        <v>29</v>
      </c>
    </row>
  </sheetData>
  <sheetProtection algorithmName="SHA-512" hashValue="i+IdDChr8eCyUkwrej/nNnpWSWETkDBNp/Q74dMER/ciskieFq34KlNPqK/7Tk/nIIOmx5hlxHp84m7+n1wOJw==" saltValue="P1sqGz3jpnmRHNPb4+SkPA==" spinCount="100000" sheet="1" objects="1" scenarios="1" selectLockedCells="1"/>
  <mergeCells count="14">
    <mergeCell ref="G1:N5"/>
    <mergeCell ref="B14:N14"/>
    <mergeCell ref="K9:L9"/>
    <mergeCell ref="K8:L8"/>
    <mergeCell ref="H10:J10"/>
    <mergeCell ref="K10:L10"/>
    <mergeCell ref="H7:L7"/>
    <mergeCell ref="E12:F12"/>
    <mergeCell ref="E11:F11"/>
    <mergeCell ref="B7:F7"/>
    <mergeCell ref="B8:F9"/>
    <mergeCell ref="B10:F10"/>
    <mergeCell ref="B11:D11"/>
    <mergeCell ref="B12:D12"/>
  </mergeCells>
  <conditionalFormatting sqref="I15:N28">
    <cfRule type="expression" dxfId="2" priority="4">
      <formula>$P$17=4</formula>
    </cfRule>
  </conditionalFormatting>
  <conditionalFormatting sqref="H35:M45">
    <cfRule type="expression" dxfId="1" priority="3">
      <formula>$P$17&lt;&gt;4</formula>
    </cfRule>
  </conditionalFormatting>
  <conditionalFormatting sqref="K10:L10">
    <cfRule type="expression" dxfId="0" priority="2">
      <formula>$I$12&lt;&gt;""</formula>
    </cfRule>
  </conditionalFormatting>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nchor moveWithCells="1">
                  <from>
                    <xdr:col>1</xdr:col>
                    <xdr:colOff>9525</xdr:colOff>
                    <xdr:row>7</xdr:row>
                    <xdr:rowOff>47625</xdr:rowOff>
                  </from>
                  <to>
                    <xdr:col>3</xdr:col>
                    <xdr:colOff>276225</xdr:colOff>
                    <xdr:row>8</xdr:row>
                    <xdr:rowOff>142875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3</xdr:col>
                    <xdr:colOff>247650</xdr:colOff>
                    <xdr:row>7</xdr:row>
                    <xdr:rowOff>38100</xdr:rowOff>
                  </from>
                  <to>
                    <xdr:col>5</xdr:col>
                    <xdr:colOff>695325</xdr:colOff>
                    <xdr:row>8</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SS-110 and SS-110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Lindsley</dc:creator>
  <cp:lastModifiedBy>Elisa Myers</cp:lastModifiedBy>
  <dcterms:created xsi:type="dcterms:W3CDTF">2014-07-15T20:31:46Z</dcterms:created>
  <dcterms:modified xsi:type="dcterms:W3CDTF">2016-10-11T21:56:51Z</dcterms:modified>
</cp:coreProperties>
</file>